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OneDrive\Desktop\"/>
    </mc:Choice>
  </mc:AlternateContent>
  <xr:revisionPtr revIDLastSave="0" documentId="13_ncr:1_{30BC071A-5FDC-4E50-A81C-DA5188F837B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0.01.22 Rev Phase-wise Est." sheetId="4" r:id="rId1"/>
  </sheets>
  <definedNames>
    <definedName name="_xlnm.Print_Area" localSheetId="0">'2020.01.22 Rev Phase-wise Est.'!$A$1:$O$40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" l="1"/>
  <c r="I10" i="4"/>
  <c r="I11" i="4"/>
  <c r="I12" i="4"/>
  <c r="I13" i="4"/>
  <c r="I14" i="4"/>
  <c r="I20" i="4"/>
  <c r="F23" i="4"/>
  <c r="I23" i="4" s="1"/>
  <c r="G23" i="4"/>
  <c r="F24" i="4"/>
  <c r="G24" i="4"/>
  <c r="I24" i="4"/>
  <c r="F25" i="4"/>
  <c r="I25" i="4" s="1"/>
  <c r="G25" i="4"/>
  <c r="F26" i="4"/>
  <c r="I26" i="4" s="1"/>
  <c r="G26" i="4"/>
  <c r="F27" i="4"/>
  <c r="G27" i="4"/>
  <c r="I27" i="4"/>
  <c r="F28" i="4"/>
  <c r="I28" i="4" s="1"/>
  <c r="G28" i="4"/>
  <c r="F29" i="4"/>
  <c r="I29" i="4" s="1"/>
  <c r="G29" i="4"/>
  <c r="I30" i="4"/>
  <c r="F31" i="4"/>
  <c r="I31" i="4" s="1"/>
  <c r="G31" i="4"/>
  <c r="F43" i="4" l="1"/>
  <c r="I35" i="4"/>
  <c r="I36" i="4" s="1"/>
  <c r="N25" i="4"/>
  <c r="O33" i="4"/>
  <c r="L33" i="4"/>
  <c r="M33" i="4"/>
  <c r="O12" i="4"/>
  <c r="N19" i="4"/>
  <c r="O34" i="4"/>
  <c r="N33" i="4"/>
  <c r="L32" i="4"/>
  <c r="N31" i="4"/>
  <c r="O30" i="4"/>
  <c r="M29" i="4"/>
  <c r="L28" i="4"/>
  <c r="L27" i="4"/>
  <c r="N26" i="4"/>
  <c r="N24" i="4"/>
  <c r="O21" i="4"/>
  <c r="N21" i="4"/>
  <c r="M21" i="4"/>
  <c r="L21" i="4"/>
  <c r="O20" i="4"/>
  <c r="O18" i="4"/>
  <c r="N18" i="4"/>
  <c r="M18" i="4"/>
  <c r="L18" i="4"/>
  <c r="O17" i="4"/>
  <c r="N17" i="4"/>
  <c r="M17" i="4"/>
  <c r="L17" i="4"/>
  <c r="O16" i="4"/>
  <c r="N16" i="4"/>
  <c r="M16" i="4"/>
  <c r="L16" i="4"/>
  <c r="O15" i="4"/>
  <c r="N15" i="4"/>
  <c r="M15" i="4"/>
  <c r="L15" i="4"/>
  <c r="O14" i="4"/>
  <c r="L13" i="4"/>
  <c r="O11" i="4"/>
  <c r="N10" i="4"/>
  <c r="I37" i="4" l="1"/>
  <c r="M9" i="4"/>
  <c r="F44" i="4"/>
  <c r="F45" i="4" s="1"/>
  <c r="L10" i="4"/>
  <c r="N12" i="4"/>
  <c r="O9" i="4"/>
  <c r="O35" i="4" s="1"/>
  <c r="O36" i="4" s="1"/>
  <c r="O37" i="4" s="1"/>
  <c r="O10" i="4"/>
  <c r="L9" i="4"/>
  <c r="L12" i="4"/>
  <c r="M10" i="4"/>
  <c r="M12" i="4"/>
  <c r="L11" i="4"/>
  <c r="N11" i="4"/>
  <c r="N9" i="4"/>
  <c r="M11" i="4"/>
  <c r="L14" i="4"/>
  <c r="N14" i="4"/>
  <c r="N23" i="4"/>
  <c r="M14" i="4"/>
  <c r="L35" i="4" l="1"/>
  <c r="L36" i="4" s="1"/>
  <c r="L37" i="4" s="1"/>
  <c r="N35" i="4"/>
  <c r="M35" i="4"/>
  <c r="N36" i="4" l="1"/>
  <c r="N37" i="4" s="1"/>
  <c r="M36" i="4"/>
  <c r="M37" i="4" s="1"/>
</calcChain>
</file>

<file path=xl/sharedStrings.xml><?xml version="1.0" encoding="utf-8"?>
<sst xmlns="http://schemas.openxmlformats.org/spreadsheetml/2006/main" count="115" uniqueCount="98">
  <si>
    <t>Buit up Area
in Sqm</t>
  </si>
  <si>
    <t>Family Homes (FH)</t>
  </si>
  <si>
    <t>Budgetary Estimate</t>
  </si>
  <si>
    <t>Solar PV - 50Kw (60,000 / Kw)</t>
  </si>
  <si>
    <t>per sqm</t>
  </si>
  <si>
    <t>Rate
Rs./ sqm</t>
  </si>
  <si>
    <t>Contingencies 2%</t>
  </si>
  <si>
    <t>FH - 4, Ground + 1st Floor</t>
  </si>
  <si>
    <t>Main Building - 1st Floor</t>
  </si>
  <si>
    <t>FH - 1 - Ground Floor only</t>
  </si>
  <si>
    <t xml:space="preserve">FH - 2 &amp; 3 - 1st Floor </t>
  </si>
  <si>
    <t xml:space="preserve">FH - 2 &amp; 3 - Ground Floor only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</si>
  <si>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</si>
  <si>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</si>
  <si>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</si>
  <si>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</si>
  <si>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</si>
  <si>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</si>
  <si>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</si>
  <si>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</si>
  <si>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</si>
  <si>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Say</t>
  </si>
  <si>
    <t>Ashok B. Lall - Architects</t>
  </si>
  <si>
    <t>Item</t>
  </si>
  <si>
    <t>Description</t>
  </si>
  <si>
    <t>Total Budgetary Estimate</t>
  </si>
  <si>
    <t>Cost/ sqm</t>
  </si>
  <si>
    <t>Cost/ sft</t>
  </si>
  <si>
    <t>Built Area</t>
  </si>
  <si>
    <t xml:space="preserve">TOTAL </t>
  </si>
  <si>
    <t>Amount
in Rs.</t>
  </si>
  <si>
    <t xml:space="preserve">Site Development
</t>
  </si>
  <si>
    <t>Infrastructure
 Site Development, Landscape Roads, Parking, Plumbing + Electricals Infra, Ancillary bldgs. &amp; STP</t>
  </si>
  <si>
    <t>Ph-1b</t>
  </si>
  <si>
    <t>Ph-2</t>
  </si>
  <si>
    <t>Ph-3</t>
  </si>
  <si>
    <t>j</t>
  </si>
  <si>
    <t>Phase -1a</t>
  </si>
  <si>
    <t>In INR</t>
  </si>
  <si>
    <t xml:space="preserve">Guard House, Gates  &amp; ancillary buildings
</t>
  </si>
  <si>
    <t>Paths &amp; Paving</t>
  </si>
  <si>
    <t>Outdoor Lighting</t>
  </si>
  <si>
    <t>Staff Qtrs. (2 nos) on GF</t>
  </si>
  <si>
    <t>Phase-wise Allocation of Budget</t>
  </si>
  <si>
    <t>in INR (Rs.)</t>
  </si>
  <si>
    <t xml:space="preserve">Main Building - Ground Floor </t>
  </si>
  <si>
    <t>M - 2</t>
  </si>
  <si>
    <t>M - 1</t>
  </si>
  <si>
    <t>M - 3</t>
  </si>
  <si>
    <t>M - 4</t>
  </si>
  <si>
    <t>M - 5</t>
  </si>
  <si>
    <t>M - 6</t>
  </si>
  <si>
    <t>M - 7</t>
  </si>
  <si>
    <t>M - 8</t>
  </si>
  <si>
    <t>M - 9</t>
  </si>
  <si>
    <t>M - 10</t>
  </si>
  <si>
    <t>M - 11</t>
  </si>
  <si>
    <t>M - 12</t>
  </si>
  <si>
    <t>M - 13</t>
  </si>
  <si>
    <t>M - 14</t>
  </si>
  <si>
    <t xml:space="preserve">Modules </t>
  </si>
  <si>
    <t>Lift  for the Main Building</t>
  </si>
  <si>
    <t xml:space="preserve">Electrical Infra (Excl. DG) </t>
  </si>
  <si>
    <t>School, Therapy &amp; Offices</t>
  </si>
  <si>
    <t>Family Home</t>
  </si>
  <si>
    <t>DG &amp; Panel</t>
  </si>
  <si>
    <t>Diesel Generator</t>
  </si>
  <si>
    <t xml:space="preserve">Central Evaporative Cooling </t>
  </si>
  <si>
    <t xml:space="preserve">Building/ Floor-wise </t>
  </si>
  <si>
    <t xml:space="preserve">Lift  </t>
  </si>
  <si>
    <t>Family Homes</t>
  </si>
  <si>
    <t>In Sqm</t>
  </si>
  <si>
    <t>Covered Area</t>
  </si>
  <si>
    <t>Area to be Developed</t>
  </si>
  <si>
    <t>Plumbing Infra</t>
  </si>
  <si>
    <t>Irrigation</t>
  </si>
  <si>
    <t>k</t>
  </si>
  <si>
    <t>Road Infrastructure 
(roads and parking areas)</t>
  </si>
  <si>
    <t xml:space="preserve">Landscape &amp; Planting (swails, ponds, trees shrubbery, orchard &amp; farms)   </t>
  </si>
  <si>
    <t>FH - 7 &amp; 8 -Ground Floor Only</t>
  </si>
  <si>
    <t>FH - 1 - 1st Floor</t>
  </si>
  <si>
    <t>FH - 6 - Ground Floor Only</t>
  </si>
  <si>
    <t>FH - 5 - Ground Floor Only</t>
  </si>
  <si>
    <t>STP (decentralized &amp; DEWATS)</t>
  </si>
  <si>
    <t>M-0</t>
  </si>
  <si>
    <t>Land,Govt approval,Electricity,Water and Boundary wall</t>
  </si>
  <si>
    <t>Land</t>
  </si>
  <si>
    <t>Boundary Wall</t>
  </si>
  <si>
    <t>Electricity and Water</t>
  </si>
  <si>
    <t>Completed</t>
  </si>
  <si>
    <t>S.Total</t>
  </si>
  <si>
    <t>Total Module 0 to 14</t>
  </si>
  <si>
    <t>Rs. 15.40 Crores</t>
  </si>
  <si>
    <t>Status</t>
  </si>
  <si>
    <t>Phase -0</t>
  </si>
  <si>
    <t>Rs. 3 Crores</t>
  </si>
  <si>
    <t>Rs. 12.40 Crores</t>
  </si>
  <si>
    <t>Proposed Khushboo Campus at Tauru, Haryana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</si>
</sst>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&quot;Rs.&quot;\ #,##0;[Red]&quot;Rs.&quot;\ \-#,##0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Rounded MT Bold"/>
      <family val="2"/>
    </font>
    <font>
      <sz val="12"/>
      <color theme="1"/>
      <name val="Arial Rounded MT Bold"/>
      <family val="2"/>
    </font>
    <font>
      <b/>
      <sz val="14"/>
      <color theme="1"/>
      <name val="Helvetica LT Std"/>
      <family val="2"/>
    </font>
    <font>
      <sz val="11"/>
      <color theme="1"/>
      <name val="Helvetica LT Std"/>
      <family val="2"/>
    </font>
    <font>
      <sz val="10"/>
      <color theme="1"/>
      <name val="Helvetica LT Std"/>
      <family val="2"/>
    </font>
    <font>
      <b/>
      <sz val="12"/>
      <color theme="1"/>
      <name val="Helvetica LT Std"/>
      <family val="2"/>
    </font>
    <font>
      <b/>
      <sz val="18"/>
      <color theme="1"/>
      <name val="Helvetica LT St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wrapText="1"/>
    </xf>
    <xf numFmtId="165" fontId="0" fillId="0" borderId="0" xfId="1" applyNumberFormat="1" applyFont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165" fontId="3" fillId="0" borderId="1" xfId="1" applyNumberFormat="1" applyFont="1" applyFill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165" fontId="3" fillId="0" borderId="9" xfId="1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165" fontId="3" fillId="0" borderId="9" xfId="0" applyNumberFormat="1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9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wrapText="1"/>
    </xf>
    <xf numFmtId="165" fontId="3" fillId="0" borderId="9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5" fontId="3" fillId="0" borderId="8" xfId="0" applyNumberFormat="1" applyFont="1" applyBorder="1" applyAlignment="1">
      <alignment wrapText="1"/>
    </xf>
    <xf numFmtId="165" fontId="3" fillId="0" borderId="9" xfId="0" applyNumberFormat="1" applyFont="1" applyBorder="1" applyAlignment="1">
      <alignment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65" fontId="3" fillId="0" borderId="4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165" fontId="3" fillId="0" borderId="0" xfId="1" applyNumberFormat="1" applyFont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165" fontId="3" fillId="0" borderId="9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65" fontId="3" fillId="4" borderId="1" xfId="1" applyNumberFormat="1" applyFont="1" applyFill="1" applyBorder="1" applyAlignment="1">
      <alignment horizontal="center" vertical="top" wrapText="1"/>
    </xf>
    <xf numFmtId="165" fontId="3" fillId="4" borderId="9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5" fontId="3" fillId="0" borderId="9" xfId="1" applyNumberFormat="1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165" fontId="3" fillId="4" borderId="1" xfId="1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165" fontId="3" fillId="4" borderId="9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165" fontId="2" fillId="5" borderId="5" xfId="1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65" fontId="2" fillId="5" borderId="5" xfId="1" applyNumberFormat="1" applyFont="1" applyFill="1" applyBorder="1" applyAlignment="1">
      <alignment vertical="center" wrapText="1"/>
    </xf>
    <xf numFmtId="165" fontId="2" fillId="5" borderId="10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zoomScaleNormal="100" workbookViewId="0">
      <pane ySplit="3" topLeftCell="A18" activePane="bottomLeft" state="frozen"/>
      <selection pane="bottomLeft" sqref="A1:O40"/>
    </sheetView>
  </sheetViews>
  <sheetFormatPr defaultColWidth="9.140625" defaultRowHeight="15.75" x14ac:dyDescent="0.25"/>
  <cols>
    <col min="1" max="1" width="8.5703125" style="149" customWidth="1"/>
    <col min="2" max="2" width="31" style="2" customWidth="1"/>
    <col min="3" max="3" width="2.85546875" style="4" customWidth="1"/>
    <col min="4" max="4" width="35.85546875" style="3" customWidth="1"/>
    <col min="5" max="5" width="9.85546875" style="8" hidden="1" customWidth="1"/>
    <col min="6" max="6" width="8" style="7" hidden="1" customWidth="1"/>
    <col min="7" max="7" width="11.85546875" style="9" hidden="1" customWidth="1"/>
    <col min="8" max="8" width="9.85546875" style="7" hidden="1" customWidth="1"/>
    <col min="9" max="9" width="22.28515625" style="7" customWidth="1"/>
    <col min="10" max="10" width="14.140625" style="1" customWidth="1"/>
    <col min="11" max="11" width="18" style="1" customWidth="1"/>
    <col min="12" max="12" width="18.42578125" style="1" customWidth="1"/>
    <col min="13" max="13" width="19.5703125" style="1" customWidth="1"/>
    <col min="14" max="14" width="18.42578125" style="1" customWidth="1"/>
    <col min="15" max="15" width="19" style="1" customWidth="1"/>
    <col min="16" max="16" width="10.85546875" style="1" customWidth="1"/>
    <col min="17" max="16384" width="9.140625" style="1"/>
  </cols>
  <sheetData>
    <row r="1" spans="1:15" ht="27" customHeight="1" x14ac:dyDescent="0.3">
      <c r="A1" s="123" t="s">
        <v>97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t="15" customHeight="1" x14ac:dyDescent="0.25">
      <c r="A2" s="44"/>
      <c r="B2" s="111" t="s">
        <v>2</v>
      </c>
      <c r="C2" s="112"/>
      <c r="D2" s="113"/>
      <c r="E2" s="114"/>
      <c r="F2" s="114"/>
      <c r="G2" s="115"/>
      <c r="H2" s="114"/>
      <c r="I2" s="114"/>
      <c r="J2" s="121"/>
      <c r="K2" s="122" t="s">
        <v>43</v>
      </c>
      <c r="L2" s="122"/>
      <c r="M2" s="122"/>
      <c r="N2" s="122"/>
      <c r="O2" s="122"/>
    </row>
    <row r="3" spans="1:15" s="5" customFormat="1" ht="30" customHeight="1" x14ac:dyDescent="0.25">
      <c r="A3" s="144" t="s">
        <v>60</v>
      </c>
      <c r="B3" s="118" t="s">
        <v>23</v>
      </c>
      <c r="C3" s="119"/>
      <c r="D3" s="120" t="s">
        <v>24</v>
      </c>
      <c r="E3" s="118" t="s">
        <v>73</v>
      </c>
      <c r="F3" s="118" t="s">
        <v>72</v>
      </c>
      <c r="G3" s="118" t="s">
        <v>0</v>
      </c>
      <c r="H3" s="118" t="s">
        <v>5</v>
      </c>
      <c r="I3" s="118" t="s">
        <v>30</v>
      </c>
      <c r="J3" s="116" t="s">
        <v>93</v>
      </c>
      <c r="K3" s="116" t="s">
        <v>94</v>
      </c>
      <c r="L3" s="116" t="s">
        <v>37</v>
      </c>
      <c r="M3" s="116" t="s">
        <v>33</v>
      </c>
      <c r="N3" s="116" t="s">
        <v>34</v>
      </c>
      <c r="O3" s="117" t="s">
        <v>35</v>
      </c>
    </row>
    <row r="4" spans="1:15" s="5" customFormat="1" ht="15" customHeight="1" x14ac:dyDescent="0.2">
      <c r="A4" s="145" t="s">
        <v>84</v>
      </c>
      <c r="B4" s="130" t="s">
        <v>85</v>
      </c>
      <c r="C4" s="14"/>
      <c r="D4" s="15"/>
      <c r="E4" s="16" t="s">
        <v>71</v>
      </c>
      <c r="F4" s="16" t="s">
        <v>71</v>
      </c>
      <c r="G4" s="16"/>
      <c r="H4" s="17" t="s">
        <v>4</v>
      </c>
      <c r="I4" s="16" t="s">
        <v>44</v>
      </c>
      <c r="J4" s="133" t="s">
        <v>89</v>
      </c>
      <c r="K4" s="130" t="s">
        <v>85</v>
      </c>
      <c r="L4" s="16" t="s">
        <v>38</v>
      </c>
      <c r="M4" s="16" t="s">
        <v>38</v>
      </c>
      <c r="N4" s="16" t="s">
        <v>38</v>
      </c>
      <c r="O4" s="18" t="s">
        <v>38</v>
      </c>
    </row>
    <row r="5" spans="1:15" s="5" customFormat="1" ht="15.75" customHeight="1" x14ac:dyDescent="0.2">
      <c r="A5" s="146"/>
      <c r="B5" s="131"/>
      <c r="C5" s="14" t="s">
        <v>12</v>
      </c>
      <c r="D5" s="15" t="s">
        <v>86</v>
      </c>
      <c r="E5" s="16">
        <v>12140</v>
      </c>
      <c r="F5" s="16"/>
      <c r="G5" s="16"/>
      <c r="H5" s="17"/>
      <c r="I5" s="19">
        <v>22000000</v>
      </c>
      <c r="J5" s="134"/>
      <c r="K5" s="131"/>
      <c r="L5" s="135"/>
      <c r="M5" s="136"/>
      <c r="N5" s="136"/>
      <c r="O5" s="137"/>
    </row>
    <row r="6" spans="1:15" s="5" customFormat="1" ht="15" x14ac:dyDescent="0.2">
      <c r="A6" s="146"/>
      <c r="B6" s="131"/>
      <c r="C6" s="14" t="s">
        <v>13</v>
      </c>
      <c r="D6" s="15" t="s">
        <v>87</v>
      </c>
      <c r="E6" s="16"/>
      <c r="F6" s="16"/>
      <c r="G6" s="16"/>
      <c r="H6" s="17"/>
      <c r="I6" s="19">
        <v>7500000</v>
      </c>
      <c r="J6" s="134"/>
      <c r="K6" s="131"/>
      <c r="L6" s="138"/>
      <c r="M6" s="139"/>
      <c r="N6" s="139"/>
      <c r="O6" s="140"/>
    </row>
    <row r="7" spans="1:15" s="5" customFormat="1" ht="15" x14ac:dyDescent="0.2">
      <c r="A7" s="146"/>
      <c r="B7" s="131"/>
      <c r="C7" s="14" t="s">
        <v>14</v>
      </c>
      <c r="D7" s="15" t="s">
        <v>88</v>
      </c>
      <c r="E7" s="16"/>
      <c r="F7" s="16"/>
      <c r="G7" s="16"/>
      <c r="H7" s="17"/>
      <c r="I7" s="19">
        <v>500000</v>
      </c>
      <c r="J7" s="134"/>
      <c r="K7" s="131"/>
      <c r="L7" s="138"/>
      <c r="M7" s="139"/>
      <c r="N7" s="139"/>
      <c r="O7" s="140"/>
    </row>
    <row r="8" spans="1:15" s="5" customFormat="1" ht="39.75" customHeight="1" x14ac:dyDescent="0.2">
      <c r="A8" s="147"/>
      <c r="B8" s="132"/>
      <c r="C8" s="14"/>
      <c r="D8" s="15" t="s">
        <v>90</v>
      </c>
      <c r="E8" s="16"/>
      <c r="F8" s="16"/>
      <c r="G8" s="16"/>
      <c r="H8" s="17"/>
      <c r="I8" s="19">
        <v>30000000</v>
      </c>
      <c r="J8" s="134"/>
      <c r="K8" s="132"/>
      <c r="L8" s="141"/>
      <c r="M8" s="142"/>
      <c r="N8" s="142"/>
      <c r="O8" s="143"/>
    </row>
    <row r="9" spans="1:15" ht="15" customHeight="1" x14ac:dyDescent="0.25">
      <c r="A9" s="127" t="s">
        <v>47</v>
      </c>
      <c r="B9" s="127" t="s">
        <v>32</v>
      </c>
      <c r="C9" s="20" t="s">
        <v>12</v>
      </c>
      <c r="D9" s="21" t="s">
        <v>31</v>
      </c>
      <c r="E9" s="22">
        <v>11567</v>
      </c>
      <c r="F9" s="23"/>
      <c r="G9" s="24">
        <v>0</v>
      </c>
      <c r="H9" s="23">
        <v>450</v>
      </c>
      <c r="I9" s="25">
        <f>E9*H9</f>
        <v>5205150</v>
      </c>
      <c r="J9" s="26" t="s">
        <v>89</v>
      </c>
      <c r="K9" s="27"/>
      <c r="L9" s="28">
        <f>I9*35%</f>
        <v>1821802.5</v>
      </c>
      <c r="M9" s="29">
        <f>I9*15%</f>
        <v>780772.5</v>
      </c>
      <c r="N9" s="29">
        <f>I9*25%</f>
        <v>1301287.5</v>
      </c>
      <c r="O9" s="30">
        <f>I9*25%</f>
        <v>1301287.5</v>
      </c>
    </row>
    <row r="10" spans="1:15" ht="30" x14ac:dyDescent="0.25">
      <c r="A10" s="128"/>
      <c r="B10" s="128"/>
      <c r="C10" s="20" t="s">
        <v>13</v>
      </c>
      <c r="D10" s="21" t="s">
        <v>77</v>
      </c>
      <c r="E10" s="31">
        <v>2400</v>
      </c>
      <c r="F10" s="32"/>
      <c r="G10" s="33"/>
      <c r="H10" s="26">
        <v>2000</v>
      </c>
      <c r="I10" s="34">
        <f>E10*H10</f>
        <v>4800000</v>
      </c>
      <c r="J10" s="26"/>
      <c r="K10" s="27"/>
      <c r="L10" s="35">
        <f>I10*50%</f>
        <v>2400000</v>
      </c>
      <c r="M10" s="35">
        <f>I10*20%</f>
        <v>960000</v>
      </c>
      <c r="N10" s="35">
        <f>I10*15%</f>
        <v>720000</v>
      </c>
      <c r="O10" s="36">
        <f>I10*15%</f>
        <v>720000</v>
      </c>
    </row>
    <row r="11" spans="1:15" ht="45" x14ac:dyDescent="0.25">
      <c r="A11" s="128"/>
      <c r="B11" s="128"/>
      <c r="C11" s="37" t="s">
        <v>14</v>
      </c>
      <c r="D11" s="38" t="s">
        <v>78</v>
      </c>
      <c r="E11" s="31">
        <v>5000</v>
      </c>
      <c r="F11" s="26"/>
      <c r="G11" s="39"/>
      <c r="H11" s="26">
        <v>720</v>
      </c>
      <c r="I11" s="40">
        <f>E11*H11</f>
        <v>3600000</v>
      </c>
      <c r="J11" s="26"/>
      <c r="K11" s="27"/>
      <c r="L11" s="41">
        <f>I11*50%</f>
        <v>1800000</v>
      </c>
      <c r="M11" s="41">
        <f>I11*10%</f>
        <v>360000</v>
      </c>
      <c r="N11" s="41">
        <f>I11*15%</f>
        <v>540000</v>
      </c>
      <c r="O11" s="42">
        <f>I11*25%</f>
        <v>900000</v>
      </c>
    </row>
    <row r="12" spans="1:15" ht="24.75" customHeight="1" x14ac:dyDescent="0.25">
      <c r="A12" s="128"/>
      <c r="B12" s="128"/>
      <c r="C12" s="20" t="s">
        <v>15</v>
      </c>
      <c r="D12" s="38" t="s">
        <v>75</v>
      </c>
      <c r="E12" s="31">
        <v>5000</v>
      </c>
      <c r="F12" s="26"/>
      <c r="G12" s="39"/>
      <c r="H12" s="26">
        <v>180</v>
      </c>
      <c r="I12" s="40">
        <f>E12*H12</f>
        <v>900000</v>
      </c>
      <c r="J12" s="26"/>
      <c r="K12" s="27"/>
      <c r="L12" s="41">
        <f>I12*50%</f>
        <v>450000</v>
      </c>
      <c r="M12" s="41">
        <f>I12*10%</f>
        <v>90000</v>
      </c>
      <c r="N12" s="41">
        <f>I12*15%</f>
        <v>135000</v>
      </c>
      <c r="O12" s="42">
        <f>I12*25%</f>
        <v>225000</v>
      </c>
    </row>
    <row r="13" spans="1:15" ht="31.35" customHeight="1" x14ac:dyDescent="0.25">
      <c r="A13" s="128"/>
      <c r="B13" s="128"/>
      <c r="C13" s="20" t="s">
        <v>16</v>
      </c>
      <c r="D13" s="21" t="s">
        <v>39</v>
      </c>
      <c r="E13" s="43"/>
      <c r="F13" s="26">
        <v>60</v>
      </c>
      <c r="G13" s="33"/>
      <c r="H13" s="26">
        <v>12000</v>
      </c>
      <c r="I13" s="34">
        <f>F13*H13</f>
        <v>720000</v>
      </c>
      <c r="J13" s="26" t="s">
        <v>89</v>
      </c>
      <c r="K13" s="27"/>
      <c r="L13" s="41">
        <f>I13</f>
        <v>720000</v>
      </c>
      <c r="M13" s="44"/>
      <c r="N13" s="44"/>
      <c r="O13" s="45"/>
    </row>
    <row r="14" spans="1:15" ht="18.75" customHeight="1" x14ac:dyDescent="0.25">
      <c r="A14" s="128"/>
      <c r="B14" s="128"/>
      <c r="C14" s="20" t="s">
        <v>17</v>
      </c>
      <c r="D14" s="21" t="s">
        <v>40</v>
      </c>
      <c r="E14" s="46">
        <v>1500</v>
      </c>
      <c r="F14" s="32"/>
      <c r="G14" s="33"/>
      <c r="H14" s="26">
        <v>2500</v>
      </c>
      <c r="I14" s="34">
        <f>E14*H14</f>
        <v>3750000</v>
      </c>
      <c r="J14" s="26"/>
      <c r="K14" s="27"/>
      <c r="L14" s="47">
        <f>I14*30%</f>
        <v>1125000</v>
      </c>
      <c r="M14" s="47">
        <f>I14*15%</f>
        <v>562500</v>
      </c>
      <c r="N14" s="47">
        <f>I14*15%</f>
        <v>562500</v>
      </c>
      <c r="O14" s="48">
        <f>I14*40%</f>
        <v>1500000</v>
      </c>
    </row>
    <row r="15" spans="1:15" ht="18" customHeight="1" x14ac:dyDescent="0.25">
      <c r="A15" s="128"/>
      <c r="B15" s="128"/>
      <c r="C15" s="20" t="s">
        <v>18</v>
      </c>
      <c r="D15" s="21" t="s">
        <v>62</v>
      </c>
      <c r="E15" s="49"/>
      <c r="F15" s="32"/>
      <c r="G15" s="33"/>
      <c r="H15" s="26"/>
      <c r="I15" s="34">
        <v>3000000</v>
      </c>
      <c r="J15" s="26"/>
      <c r="K15" s="27"/>
      <c r="L15" s="50">
        <f>I15*30%</f>
        <v>900000</v>
      </c>
      <c r="M15" s="50">
        <f>I15*15%</f>
        <v>450000</v>
      </c>
      <c r="N15" s="47">
        <f>I15*15%</f>
        <v>450000</v>
      </c>
      <c r="O15" s="48">
        <f>I15*40%</f>
        <v>1200000</v>
      </c>
    </row>
    <row r="16" spans="1:15" ht="21" customHeight="1" x14ac:dyDescent="0.25">
      <c r="A16" s="128"/>
      <c r="B16" s="128"/>
      <c r="C16" s="20" t="s">
        <v>19</v>
      </c>
      <c r="D16" s="21" t="s">
        <v>41</v>
      </c>
      <c r="E16" s="49"/>
      <c r="F16" s="32"/>
      <c r="G16" s="33"/>
      <c r="H16" s="26"/>
      <c r="I16" s="34">
        <v>600000</v>
      </c>
      <c r="J16" s="26"/>
      <c r="K16" s="27"/>
      <c r="L16" s="47">
        <f>I16*35%</f>
        <v>210000</v>
      </c>
      <c r="M16" s="47">
        <f>I16*15%</f>
        <v>90000</v>
      </c>
      <c r="N16" s="47">
        <f>I16*15%</f>
        <v>90000</v>
      </c>
      <c r="O16" s="48">
        <f>I16*35%</f>
        <v>210000</v>
      </c>
    </row>
    <row r="17" spans="1:15" ht="18" customHeight="1" x14ac:dyDescent="0.25">
      <c r="A17" s="128"/>
      <c r="B17" s="128"/>
      <c r="C17" s="37" t="s">
        <v>20</v>
      </c>
      <c r="D17" s="38" t="s">
        <v>74</v>
      </c>
      <c r="E17" s="49"/>
      <c r="F17" s="32"/>
      <c r="G17" s="33"/>
      <c r="H17" s="26"/>
      <c r="I17" s="34">
        <v>3000000</v>
      </c>
      <c r="J17" s="26"/>
      <c r="K17" s="27"/>
      <c r="L17" s="35">
        <f>I17*30%</f>
        <v>900000</v>
      </c>
      <c r="M17" s="35">
        <f>I17*15%</f>
        <v>450000</v>
      </c>
      <c r="N17" s="35">
        <f>I17*15%</f>
        <v>450000</v>
      </c>
      <c r="O17" s="36">
        <f>I17*40%</f>
        <v>1200000</v>
      </c>
    </row>
    <row r="18" spans="1:15" ht="30" customHeight="1" x14ac:dyDescent="0.25">
      <c r="A18" s="128"/>
      <c r="B18" s="128"/>
      <c r="C18" s="20" t="s">
        <v>36</v>
      </c>
      <c r="D18" s="21" t="s">
        <v>83</v>
      </c>
      <c r="E18" s="49"/>
      <c r="F18" s="32"/>
      <c r="G18" s="33"/>
      <c r="H18" s="26"/>
      <c r="I18" s="34">
        <v>1500000</v>
      </c>
      <c r="J18" s="26"/>
      <c r="K18" s="27"/>
      <c r="L18" s="35">
        <f>I18*10%</f>
        <v>150000</v>
      </c>
      <c r="M18" s="35">
        <f>I18*10%</f>
        <v>150000</v>
      </c>
      <c r="N18" s="35">
        <f>I18*15%</f>
        <v>225000</v>
      </c>
      <c r="O18" s="36">
        <f>I18*65%</f>
        <v>975000</v>
      </c>
    </row>
    <row r="19" spans="1:15" ht="15" customHeight="1" x14ac:dyDescent="0.25">
      <c r="A19" s="129"/>
      <c r="B19" s="129"/>
      <c r="C19" s="20" t="s">
        <v>76</v>
      </c>
      <c r="D19" s="21" t="s">
        <v>42</v>
      </c>
      <c r="E19" s="49"/>
      <c r="F19" s="32">
        <v>70</v>
      </c>
      <c r="G19" s="33"/>
      <c r="H19" s="26">
        <v>18000</v>
      </c>
      <c r="I19" s="34">
        <v>1250000</v>
      </c>
      <c r="J19" s="26"/>
      <c r="K19" s="27"/>
      <c r="L19" s="47"/>
      <c r="M19" s="44"/>
      <c r="N19" s="47">
        <f>I19</f>
        <v>1250000</v>
      </c>
      <c r="O19" s="48"/>
    </row>
    <row r="20" spans="1:15" s="6" customFormat="1" ht="16.350000000000001" customHeight="1" x14ac:dyDescent="0.2">
      <c r="A20" s="127" t="s">
        <v>46</v>
      </c>
      <c r="B20" s="51" t="s">
        <v>45</v>
      </c>
      <c r="C20" s="52"/>
      <c r="D20" s="53" t="s">
        <v>63</v>
      </c>
      <c r="E20" s="23"/>
      <c r="F20" s="23">
        <v>1360</v>
      </c>
      <c r="G20" s="24">
        <v>1565</v>
      </c>
      <c r="H20" s="23">
        <v>20500</v>
      </c>
      <c r="I20" s="25">
        <f>F20*H20</f>
        <v>27880000</v>
      </c>
      <c r="J20" s="23"/>
      <c r="K20" s="54"/>
      <c r="L20" s="51"/>
      <c r="M20" s="51"/>
      <c r="N20" s="51"/>
      <c r="O20" s="55">
        <f>I20</f>
        <v>27880000</v>
      </c>
    </row>
    <row r="21" spans="1:15" s="6" customFormat="1" ht="16.350000000000001" customHeight="1" x14ac:dyDescent="0.2">
      <c r="A21" s="129"/>
      <c r="B21" s="21" t="s">
        <v>3</v>
      </c>
      <c r="C21" s="52"/>
      <c r="D21" s="53"/>
      <c r="E21" s="23"/>
      <c r="F21" s="23"/>
      <c r="G21" s="24"/>
      <c r="H21" s="23"/>
      <c r="I21" s="56">
        <v>3000000</v>
      </c>
      <c r="J21" s="23"/>
      <c r="K21" s="54"/>
      <c r="L21" s="57">
        <f>I21*20%</f>
        <v>600000</v>
      </c>
      <c r="M21" s="57">
        <f>I21*10%</f>
        <v>300000</v>
      </c>
      <c r="N21" s="57">
        <f>I21*30%</f>
        <v>900000</v>
      </c>
      <c r="O21" s="55">
        <f>I21*40%</f>
        <v>1200000</v>
      </c>
    </row>
    <row r="22" spans="1:15" s="6" customFormat="1" ht="15" customHeight="1" x14ac:dyDescent="0.25">
      <c r="A22" s="51"/>
      <c r="B22" s="58" t="s">
        <v>1</v>
      </c>
      <c r="C22" s="59"/>
      <c r="D22" s="60"/>
      <c r="E22" s="61"/>
      <c r="F22" s="62"/>
      <c r="G22" s="63"/>
      <c r="H22" s="62"/>
      <c r="I22" s="62"/>
      <c r="J22" s="51"/>
      <c r="K22" s="64"/>
      <c r="L22" s="51"/>
      <c r="M22" s="51"/>
      <c r="N22" s="51"/>
      <c r="O22" s="65"/>
    </row>
    <row r="23" spans="1:15" s="6" customFormat="1" ht="15" customHeight="1" x14ac:dyDescent="0.25">
      <c r="A23" s="23" t="s">
        <v>48</v>
      </c>
      <c r="B23" s="51" t="s">
        <v>7</v>
      </c>
      <c r="C23" s="52"/>
      <c r="D23" s="66" t="s">
        <v>64</v>
      </c>
      <c r="E23" s="67"/>
      <c r="F23" s="23">
        <f>136+105</f>
        <v>241</v>
      </c>
      <c r="G23" s="24">
        <f>182+139</f>
        <v>321</v>
      </c>
      <c r="H23" s="23">
        <v>18500</v>
      </c>
      <c r="I23" s="68">
        <f t="shared" ref="I23:I31" si="0">F23*H23</f>
        <v>4458500</v>
      </c>
      <c r="J23" s="23"/>
      <c r="K23" s="64"/>
      <c r="L23" s="51"/>
      <c r="M23" s="51"/>
      <c r="N23" s="57">
        <f>I23</f>
        <v>4458500</v>
      </c>
      <c r="O23" s="65"/>
    </row>
    <row r="24" spans="1:15" s="6" customFormat="1" ht="15" customHeight="1" x14ac:dyDescent="0.25">
      <c r="A24" s="23" t="s">
        <v>49</v>
      </c>
      <c r="B24" s="51" t="s">
        <v>11</v>
      </c>
      <c r="C24" s="52"/>
      <c r="D24" s="66" t="s">
        <v>70</v>
      </c>
      <c r="E24" s="67"/>
      <c r="F24" s="23">
        <f>132+132</f>
        <v>264</v>
      </c>
      <c r="G24" s="24">
        <f>175+175</f>
        <v>350</v>
      </c>
      <c r="H24" s="23">
        <v>19000</v>
      </c>
      <c r="I24" s="68">
        <f t="shared" si="0"/>
        <v>5016000</v>
      </c>
      <c r="J24" s="23"/>
      <c r="K24" s="64"/>
      <c r="L24" s="51"/>
      <c r="M24" s="51"/>
      <c r="N24" s="57">
        <f>I24</f>
        <v>5016000</v>
      </c>
      <c r="O24" s="65"/>
    </row>
    <row r="25" spans="1:15" s="6" customFormat="1" ht="15" customHeight="1" x14ac:dyDescent="0.25">
      <c r="A25" s="23" t="s">
        <v>50</v>
      </c>
      <c r="B25" s="51" t="s">
        <v>10</v>
      </c>
      <c r="C25" s="52"/>
      <c r="D25" s="66" t="s">
        <v>70</v>
      </c>
      <c r="E25" s="67"/>
      <c r="F25" s="23">
        <f>120+131</f>
        <v>251</v>
      </c>
      <c r="G25" s="24">
        <f>150+134</f>
        <v>284</v>
      </c>
      <c r="H25" s="23">
        <v>18000</v>
      </c>
      <c r="I25" s="68">
        <f t="shared" si="0"/>
        <v>4518000</v>
      </c>
      <c r="J25" s="23"/>
      <c r="K25" s="64"/>
      <c r="L25" s="51"/>
      <c r="M25" s="51"/>
      <c r="N25" s="57">
        <f>I25</f>
        <v>4518000</v>
      </c>
      <c r="O25" s="65"/>
    </row>
    <row r="26" spans="1:15" s="6" customFormat="1" ht="15" customHeight="1" x14ac:dyDescent="0.25">
      <c r="A26" s="23" t="s">
        <v>51</v>
      </c>
      <c r="B26" s="51" t="s">
        <v>9</v>
      </c>
      <c r="C26" s="52"/>
      <c r="D26" s="66" t="s">
        <v>64</v>
      </c>
      <c r="E26" s="67"/>
      <c r="F26" s="23">
        <f>136</f>
        <v>136</v>
      </c>
      <c r="G26" s="24">
        <f>182</f>
        <v>182</v>
      </c>
      <c r="H26" s="23">
        <v>19000</v>
      </c>
      <c r="I26" s="68">
        <f t="shared" si="0"/>
        <v>2584000</v>
      </c>
      <c r="J26" s="23"/>
      <c r="K26" s="64"/>
      <c r="L26" s="51"/>
      <c r="M26" s="51"/>
      <c r="N26" s="57">
        <f>I26</f>
        <v>2584000</v>
      </c>
      <c r="O26" s="65"/>
    </row>
    <row r="27" spans="1:15" ht="15" customHeight="1" x14ac:dyDescent="0.25">
      <c r="A27" s="23" t="s">
        <v>52</v>
      </c>
      <c r="B27" s="44" t="s">
        <v>82</v>
      </c>
      <c r="C27" s="52"/>
      <c r="D27" s="66" t="s">
        <v>64</v>
      </c>
      <c r="E27" s="67"/>
      <c r="F27" s="23">
        <f>136</f>
        <v>136</v>
      </c>
      <c r="G27" s="24">
        <f>182</f>
        <v>182</v>
      </c>
      <c r="H27" s="23">
        <v>19000</v>
      </c>
      <c r="I27" s="68">
        <f t="shared" si="0"/>
        <v>2584000</v>
      </c>
      <c r="J27" s="23"/>
      <c r="K27" s="27"/>
      <c r="L27" s="35">
        <f>I27</f>
        <v>2584000</v>
      </c>
      <c r="M27" s="44"/>
      <c r="N27" s="57"/>
      <c r="O27" s="45"/>
    </row>
    <row r="28" spans="1:15" ht="15" customHeight="1" x14ac:dyDescent="0.25">
      <c r="A28" s="23" t="s">
        <v>53</v>
      </c>
      <c r="B28" s="44" t="s">
        <v>81</v>
      </c>
      <c r="C28" s="52"/>
      <c r="D28" s="66" t="s">
        <v>64</v>
      </c>
      <c r="E28" s="67"/>
      <c r="F28" s="23">
        <f>136</f>
        <v>136</v>
      </c>
      <c r="G28" s="24">
        <f>182</f>
        <v>182</v>
      </c>
      <c r="H28" s="23">
        <v>19000</v>
      </c>
      <c r="I28" s="68">
        <f t="shared" si="0"/>
        <v>2584000</v>
      </c>
      <c r="J28" s="23"/>
      <c r="K28" s="27"/>
      <c r="L28" s="35">
        <f>I28</f>
        <v>2584000</v>
      </c>
      <c r="M28" s="44"/>
      <c r="N28" s="57"/>
      <c r="O28" s="45"/>
    </row>
    <row r="29" spans="1:15" ht="15" customHeight="1" x14ac:dyDescent="0.25">
      <c r="A29" s="23" t="s">
        <v>54</v>
      </c>
      <c r="B29" s="69" t="s">
        <v>79</v>
      </c>
      <c r="C29" s="52"/>
      <c r="D29" s="66" t="s">
        <v>70</v>
      </c>
      <c r="E29" s="67"/>
      <c r="F29" s="32">
        <f>132+132</f>
        <v>264</v>
      </c>
      <c r="G29" s="24">
        <f>175+175</f>
        <v>350</v>
      </c>
      <c r="H29" s="23">
        <v>19000</v>
      </c>
      <c r="I29" s="68">
        <f t="shared" si="0"/>
        <v>5016000</v>
      </c>
      <c r="J29" s="23"/>
      <c r="K29" s="27"/>
      <c r="L29" s="44"/>
      <c r="M29" s="35">
        <f>I29</f>
        <v>5016000</v>
      </c>
      <c r="N29" s="57"/>
      <c r="O29" s="45"/>
    </row>
    <row r="30" spans="1:15" ht="15" customHeight="1" x14ac:dyDescent="0.25">
      <c r="A30" s="23" t="s">
        <v>55</v>
      </c>
      <c r="B30" s="69" t="s">
        <v>8</v>
      </c>
      <c r="C30" s="52"/>
      <c r="D30" s="53" t="s">
        <v>63</v>
      </c>
      <c r="E30" s="67"/>
      <c r="F30" s="70">
        <v>1360</v>
      </c>
      <c r="G30" s="63">
        <v>1565</v>
      </c>
      <c r="H30" s="26">
        <v>21000</v>
      </c>
      <c r="I30" s="71">
        <f t="shared" si="0"/>
        <v>28560000</v>
      </c>
      <c r="J30" s="23"/>
      <c r="K30" s="27"/>
      <c r="L30" s="44"/>
      <c r="M30" s="44"/>
      <c r="N30" s="57"/>
      <c r="O30" s="36">
        <f>I30</f>
        <v>28560000</v>
      </c>
    </row>
    <row r="31" spans="1:15" ht="15" customHeight="1" x14ac:dyDescent="0.25">
      <c r="A31" s="23" t="s">
        <v>56</v>
      </c>
      <c r="B31" s="69" t="s">
        <v>80</v>
      </c>
      <c r="C31" s="52"/>
      <c r="D31" s="66" t="s">
        <v>64</v>
      </c>
      <c r="E31" s="67"/>
      <c r="F31" s="26">
        <f>136</f>
        <v>136</v>
      </c>
      <c r="G31" s="39">
        <f>139</f>
        <v>139</v>
      </c>
      <c r="H31" s="26">
        <v>18000</v>
      </c>
      <c r="I31" s="68">
        <f t="shared" si="0"/>
        <v>2448000</v>
      </c>
      <c r="J31" s="23"/>
      <c r="K31" s="27"/>
      <c r="L31" s="44"/>
      <c r="M31" s="44"/>
      <c r="N31" s="35">
        <f>I31</f>
        <v>2448000</v>
      </c>
      <c r="O31" s="45"/>
    </row>
    <row r="32" spans="1:15" s="6" customFormat="1" ht="15" customHeight="1" x14ac:dyDescent="0.25">
      <c r="A32" s="23" t="s">
        <v>57</v>
      </c>
      <c r="B32" s="38" t="s">
        <v>65</v>
      </c>
      <c r="C32" s="20"/>
      <c r="D32" s="72" t="s">
        <v>66</v>
      </c>
      <c r="E32" s="73"/>
      <c r="F32" s="43"/>
      <c r="G32" s="43"/>
      <c r="H32" s="43"/>
      <c r="I32" s="74">
        <v>750000</v>
      </c>
      <c r="J32" s="49"/>
      <c r="K32" s="64"/>
      <c r="L32" s="57">
        <f>I32</f>
        <v>750000</v>
      </c>
      <c r="M32" s="51"/>
      <c r="N32" s="51"/>
      <c r="O32" s="65"/>
    </row>
    <row r="33" spans="1:15" ht="15" customHeight="1" x14ac:dyDescent="0.25">
      <c r="A33" s="23" t="s">
        <v>58</v>
      </c>
      <c r="B33" s="38" t="s">
        <v>67</v>
      </c>
      <c r="C33" s="20"/>
      <c r="D33" s="21" t="s">
        <v>68</v>
      </c>
      <c r="E33" s="73"/>
      <c r="F33" s="43"/>
      <c r="G33" s="43"/>
      <c r="H33" s="43"/>
      <c r="I33" s="56">
        <v>2500000</v>
      </c>
      <c r="J33" s="69"/>
      <c r="K33" s="27"/>
      <c r="L33" s="75">
        <f>I33*8%</f>
        <v>200000</v>
      </c>
      <c r="M33" s="75">
        <f>I33*8%</f>
        <v>200000</v>
      </c>
      <c r="N33" s="75">
        <f>I33*20%</f>
        <v>500000</v>
      </c>
      <c r="O33" s="76">
        <f>I33*64%</f>
        <v>1600000</v>
      </c>
    </row>
    <row r="34" spans="1:15" ht="15" customHeight="1" x14ac:dyDescent="0.25">
      <c r="A34" s="23" t="s">
        <v>59</v>
      </c>
      <c r="B34" s="77" t="s">
        <v>69</v>
      </c>
      <c r="C34" s="20"/>
      <c r="D34" s="21" t="s">
        <v>61</v>
      </c>
      <c r="E34" s="73"/>
      <c r="F34" s="43"/>
      <c r="G34" s="43"/>
      <c r="H34" s="43"/>
      <c r="I34" s="56">
        <v>1350000</v>
      </c>
      <c r="J34" s="69"/>
      <c r="K34" s="27"/>
      <c r="L34" s="44"/>
      <c r="M34" s="44"/>
      <c r="N34" s="44"/>
      <c r="O34" s="48">
        <f>I34</f>
        <v>1350000</v>
      </c>
    </row>
    <row r="35" spans="1:15" ht="14.45" customHeight="1" x14ac:dyDescent="0.25">
      <c r="A35" s="148"/>
      <c r="B35" s="78" t="s">
        <v>91</v>
      </c>
      <c r="C35" s="79"/>
      <c r="D35" s="80"/>
      <c r="E35" s="81"/>
      <c r="F35" s="82"/>
      <c r="G35" s="82"/>
      <c r="H35" s="82"/>
      <c r="I35" s="83">
        <f>SUM(I8:I34)</f>
        <v>151573650</v>
      </c>
      <c r="J35" s="78"/>
      <c r="K35" s="27"/>
      <c r="L35" s="83">
        <f>SUM(L9:L34)</f>
        <v>17194802.5</v>
      </c>
      <c r="M35" s="83">
        <f>SUM(M9:M34)</f>
        <v>9409272.5</v>
      </c>
      <c r="N35" s="83">
        <f>SUM(N9:N34)</f>
        <v>26148287.5</v>
      </c>
      <c r="O35" s="84">
        <f>SUM(O9:O34)</f>
        <v>68821287.5</v>
      </c>
    </row>
    <row r="36" spans="1:15" ht="14.45" customHeight="1" x14ac:dyDescent="0.25">
      <c r="A36" s="87"/>
      <c r="B36" s="85" t="s">
        <v>6</v>
      </c>
      <c r="C36" s="52"/>
      <c r="D36" s="53"/>
      <c r="E36" s="23"/>
      <c r="F36" s="32"/>
      <c r="G36" s="33"/>
      <c r="H36" s="32"/>
      <c r="I36" s="86">
        <f>I35*2%</f>
        <v>3031473</v>
      </c>
      <c r="J36" s="87"/>
      <c r="K36" s="27"/>
      <c r="L36" s="86">
        <f>L35*2%</f>
        <v>343896.05</v>
      </c>
      <c r="M36" s="86">
        <f t="shared" ref="M36:O36" si="1">M35*2%</f>
        <v>188185.45</v>
      </c>
      <c r="N36" s="86">
        <f t="shared" si="1"/>
        <v>522965.75</v>
      </c>
      <c r="O36" s="88">
        <f t="shared" si="1"/>
        <v>1376425.75</v>
      </c>
    </row>
    <row r="37" spans="1:15" ht="14.45" customHeight="1" x14ac:dyDescent="0.25">
      <c r="A37" s="92"/>
      <c r="B37" s="89" t="s">
        <v>29</v>
      </c>
      <c r="C37" s="79"/>
      <c r="D37" s="80"/>
      <c r="E37" s="82"/>
      <c r="F37" s="90"/>
      <c r="G37" s="90"/>
      <c r="H37" s="90"/>
      <c r="I37" s="91">
        <f>SUM(I35:I36)</f>
        <v>154605123</v>
      </c>
      <c r="J37" s="92"/>
      <c r="K37" s="27"/>
      <c r="L37" s="91">
        <f>SUM(L35:L36)</f>
        <v>17538698.550000001</v>
      </c>
      <c r="M37" s="91">
        <f t="shared" ref="M37:O37" si="2">SUM(M35:M36)</f>
        <v>9597457.9499999993</v>
      </c>
      <c r="N37" s="91">
        <f t="shared" si="2"/>
        <v>26671253.25</v>
      </c>
      <c r="O37" s="93">
        <f t="shared" si="2"/>
        <v>70197713.25</v>
      </c>
    </row>
    <row r="38" spans="1:15" s="10" customFormat="1" ht="3" customHeight="1" x14ac:dyDescent="0.25">
      <c r="A38" s="87"/>
      <c r="B38" s="94"/>
      <c r="C38" s="20"/>
      <c r="D38" s="21"/>
      <c r="E38" s="43"/>
      <c r="F38" s="95"/>
      <c r="G38" s="95"/>
      <c r="H38" s="95"/>
      <c r="I38" s="96"/>
      <c r="J38" s="87"/>
      <c r="K38" s="97"/>
      <c r="L38" s="87"/>
      <c r="M38" s="87"/>
      <c r="N38" s="87"/>
      <c r="O38" s="98"/>
    </row>
    <row r="39" spans="1:15" s="11" customFormat="1" ht="14.45" customHeight="1" x14ac:dyDescent="0.2">
      <c r="A39" s="104"/>
      <c r="B39" s="99" t="s">
        <v>25</v>
      </c>
      <c r="C39" s="100"/>
      <c r="D39" s="101"/>
      <c r="E39" s="102"/>
      <c r="F39" s="102"/>
      <c r="G39" s="102"/>
      <c r="H39" s="102" t="s">
        <v>21</v>
      </c>
      <c r="I39" s="103">
        <v>154000000</v>
      </c>
      <c r="J39" s="104"/>
      <c r="K39" s="105">
        <v>30000000</v>
      </c>
      <c r="L39" s="106">
        <v>17500000</v>
      </c>
      <c r="M39" s="106">
        <v>10000000</v>
      </c>
      <c r="N39" s="106">
        <v>26500000</v>
      </c>
      <c r="O39" s="107">
        <v>70000000</v>
      </c>
    </row>
    <row r="40" spans="1:15" s="11" customFormat="1" ht="28.7" customHeight="1" thickBot="1" x14ac:dyDescent="0.3">
      <c r="A40" s="109"/>
      <c r="B40" s="26" t="s">
        <v>22</v>
      </c>
      <c r="C40" s="37"/>
      <c r="D40" s="38"/>
      <c r="E40" s="49"/>
      <c r="F40" s="49"/>
      <c r="G40" s="49"/>
      <c r="H40" s="49"/>
      <c r="I40" s="108" t="s">
        <v>92</v>
      </c>
      <c r="J40" s="109"/>
      <c r="K40" s="110" t="s">
        <v>95</v>
      </c>
      <c r="L40" s="124" t="s">
        <v>96</v>
      </c>
      <c r="M40" s="125"/>
      <c r="N40" s="125"/>
      <c r="O40" s="126"/>
    </row>
    <row r="42" spans="1:15" x14ac:dyDescent="0.25">
      <c r="I42" s="13"/>
    </row>
    <row r="43" spans="1:15" x14ac:dyDescent="0.25">
      <c r="E43" s="8" t="s">
        <v>28</v>
      </c>
      <c r="F43" s="7">
        <f>SUM(F13:G39)</f>
        <v>9534</v>
      </c>
    </row>
    <row r="44" spans="1:15" x14ac:dyDescent="0.25">
      <c r="E44" s="8" t="s">
        <v>26</v>
      </c>
      <c r="F44" s="12">
        <f>I39/F43</f>
        <v>16152.716593245228</v>
      </c>
    </row>
    <row r="45" spans="1:15" x14ac:dyDescent="0.25">
      <c r="E45" s="8" t="s">
        <v>27</v>
      </c>
      <c r="F45" s="12">
        <f>F44/10.764</f>
        <v>1500.6239867377583</v>
      </c>
    </row>
  </sheetData>
  <mergeCells count="11">
    <mergeCell ref="K2:O2"/>
    <mergeCell ref="A1:O1"/>
    <mergeCell ref="L40:O40"/>
    <mergeCell ref="A9:A19"/>
    <mergeCell ref="B9:B19"/>
    <mergeCell ref="A20:A21"/>
    <mergeCell ref="A4:A8"/>
    <mergeCell ref="B4:B8"/>
    <mergeCell ref="J4:J8"/>
    <mergeCell ref="L5:O8"/>
    <mergeCell ref="K4:K8"/>
  </mergeCells>
  <pageMargins left="1.4960629921259843" right="0.98425196850393704" top="0.74803149606299213" bottom="0.74803149606299213" header="0.31496062992125984" footer="0.31496062992125984"/>
  <pageSetup paperSize="9" scale="5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2020.01.22 Rev Phase-wise Est.</vt:lpstr>
      <vt:lpstr>'2020.01.22 Rev Phase-wise Est.'!Print_Area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Jinsi</dc:creator>
  <cp:lastModifiedBy>dell</cp:lastModifiedBy>
  <cp:lastPrinted>2021-07-20T08:25:18Z</cp:lastPrinted>
  <dcterms:created xsi:type="dcterms:W3CDTF">2019-09-14T01:16:21Z</dcterms:created>
  <dcterms:modified xsi:type="dcterms:W3CDTF">2021-07-30T04:12:36Z</dcterms:modified>
</cp:coreProperties>
</file>